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amp hours" sheetId="1" r:id="rId1"/>
    <sheet name="batteries" sheetId="2" r:id="rId2"/>
    <sheet name="Solar Panels" sheetId="3" r:id="rId3"/>
  </sheets>
  <definedNames/>
  <calcPr fullCalcOnLoad="1"/>
</workbook>
</file>

<file path=xl/sharedStrings.xml><?xml version="1.0" encoding="utf-8"?>
<sst xmlns="http://schemas.openxmlformats.org/spreadsheetml/2006/main" count="97" uniqueCount="77">
  <si>
    <t>Daily Amp Hours Requirements</t>
  </si>
  <si>
    <t>Description</t>
  </si>
  <si>
    <t>Voltage</t>
  </si>
  <si>
    <t>Daily hours</t>
  </si>
  <si>
    <t>Electric tea kettle</t>
  </si>
  <si>
    <t>Watts</t>
  </si>
  <si>
    <t>Toaster</t>
  </si>
  <si>
    <t>Minutes</t>
  </si>
  <si>
    <t>Hair Dryer</t>
  </si>
  <si>
    <t>Daily WH</t>
  </si>
  <si>
    <t>Microwave</t>
  </si>
  <si>
    <t>TV</t>
  </si>
  <si>
    <t>DVD player</t>
  </si>
  <si>
    <t>Laptop DH</t>
  </si>
  <si>
    <t>Laptop SH</t>
  </si>
  <si>
    <t>Data storage array</t>
  </si>
  <si>
    <t>Canon 1D battery charger</t>
  </si>
  <si>
    <t>notes</t>
  </si>
  <si>
    <t>we don't normally watch any TV, this estimate allows for a movie</t>
  </si>
  <si>
    <t>every 3rd day</t>
  </si>
  <si>
    <t>once per week</t>
  </si>
  <si>
    <t>Canon SD550 battery charger</t>
  </si>
  <si>
    <t>twice per week</t>
  </si>
  <si>
    <t>Canon S2 battery charger</t>
  </si>
  <si>
    <t>Stereo</t>
  </si>
  <si>
    <t>Camper lighting (general)</t>
  </si>
  <si>
    <t>Camper lighting (reading LED)</t>
  </si>
  <si>
    <t>2-3 times per week (estimate)</t>
  </si>
  <si>
    <t>Water pump</t>
  </si>
  <si>
    <t>Refrigeration</t>
  </si>
  <si>
    <t>Water filter pump (reverse osmosis)</t>
  </si>
  <si>
    <t>Portable drill charger</t>
  </si>
  <si>
    <t>compressor cycle times dependant on conditions</t>
  </si>
  <si>
    <t>Skymate</t>
  </si>
  <si>
    <t>Irridium phone charger</t>
  </si>
  <si>
    <t>GSM phone charger</t>
  </si>
  <si>
    <t>once per month</t>
  </si>
  <si>
    <t>Printer</t>
  </si>
  <si>
    <t>4x6 printer charger</t>
  </si>
  <si>
    <t>Total WH</t>
  </si>
  <si>
    <t>Daily flag</t>
  </si>
  <si>
    <t>x</t>
  </si>
  <si>
    <t>12V AH</t>
  </si>
  <si>
    <t>Inverter loss</t>
  </si>
  <si>
    <t>120VAC subtotal</t>
  </si>
  <si>
    <t>12DC subtotal</t>
  </si>
  <si>
    <t>Total watt hours</t>
  </si>
  <si>
    <t>based on Dometic/Tundra TJ85AC @4.5 amps</t>
  </si>
  <si>
    <t>Dometic 600312 Air Conditioner</t>
  </si>
  <si>
    <t>assumes simultaneous 12VDC generator operation</t>
  </si>
  <si>
    <t>120VAC total</t>
  </si>
  <si>
    <t>12VDC Amps</t>
  </si>
  <si>
    <t>GPL-4DA</t>
  </si>
  <si>
    <t xml:space="preserve">12v </t>
  </si>
  <si>
    <t>Lifeline Battery</t>
  </si>
  <si>
    <t>Part Number</t>
  </si>
  <si>
    <t>Volts</t>
  </si>
  <si>
    <t xml:space="preserve">Overall Dimensions </t>
  </si>
  <si>
    <t>Length</t>
  </si>
  <si>
    <t xml:space="preserve">in   mm </t>
  </si>
  <si>
    <t>Width</t>
  </si>
  <si>
    <t>Height</t>
  </si>
  <si>
    <t>in   mm</t>
  </si>
  <si>
    <t>Weight</t>
  </si>
  <si>
    <t>lb - kg</t>
  </si>
  <si>
    <t xml:space="preserve">Cold Cranking Amps </t>
  </si>
  <si>
    <t>68º F</t>
  </si>
  <si>
    <t>32º F</t>
  </si>
  <si>
    <t>0º F</t>
  </si>
  <si>
    <t>Rated Cap.</t>
  </si>
  <si>
    <t>Amp. Hrs</t>
  </si>
  <si>
    <r>
      <t>20 Hr Rate</t>
    </r>
    <r>
      <rPr>
        <sz val="10"/>
        <rFont val="Arial"/>
        <family val="0"/>
      </rPr>
      <t xml:space="preserve"> </t>
    </r>
  </si>
  <si>
    <t xml:space="preserve">Minutes of Discharge </t>
  </si>
  <si>
    <t xml:space="preserve">Amps </t>
  </si>
  <si>
    <t>Amps</t>
  </si>
  <si>
    <t>Kyocera</t>
  </si>
  <si>
    <t>KC85T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</si>
</sst>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0" xfId="15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3" fontId="0" fillId="0" borderId="1" xfId="15" applyBorder="1" applyAlignment="1">
      <alignment horizontal="center"/>
    </xf>
    <xf numFmtId="43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3" fontId="0" fillId="0" borderId="0" xfId="15" applyFont="1" applyAlignment="1">
      <alignment horizontal="left"/>
    </xf>
    <xf numFmtId="0" fontId="0" fillId="0" borderId="0" xfId="0" applyFill="1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1" xfId="15" applyBorder="1" applyAlignment="1">
      <alignment/>
    </xf>
    <xf numFmtId="0" fontId="0" fillId="2" borderId="0" xfId="0" applyFill="1" applyAlignment="1">
      <alignment/>
    </xf>
    <xf numFmtId="0" fontId="2" fillId="3" borderId="2" xfId="19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9" xfId="0" applyFill="1" applyBorder="1" applyAlignment="1">
      <alignment/>
    </xf>
    <xf numFmtId="0" fontId="3" fillId="3" borderId="10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10</xdr:col>
      <xdr:colOff>104775</xdr:colOff>
      <xdr:row>21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55911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linebatteries.com/marineflyer.php?id=5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9" sqref="B59"/>
    </sheetView>
  </sheetViews>
  <sheetFormatPr defaultColWidth="9.140625" defaultRowHeight="12.75"/>
  <cols>
    <col min="2" max="2" width="31.00390625" style="0" bestFit="1" customWidth="1"/>
    <col min="6" max="6" width="11.421875" style="1" bestFit="1" customWidth="1"/>
    <col min="7" max="7" width="9.28125" style="0" bestFit="1" customWidth="1"/>
    <col min="8" max="9" width="9.28125" style="0" customWidth="1"/>
    <col min="10" max="10" width="1.57421875" style="0" customWidth="1"/>
    <col min="11" max="11" width="10.8515625" style="1" bestFit="1" customWidth="1"/>
    <col min="12" max="12" width="12.28125" style="0" bestFit="1" customWidth="1"/>
    <col min="13" max="13" width="55.7109375" style="0" bestFit="1" customWidth="1"/>
  </cols>
  <sheetData>
    <row r="2" ht="12.75">
      <c r="B2" t="s">
        <v>0</v>
      </c>
    </row>
    <row r="4" spans="2:13" ht="12.75">
      <c r="B4" s="2" t="s">
        <v>1</v>
      </c>
      <c r="C4" s="7" t="s">
        <v>2</v>
      </c>
      <c r="D4" s="7" t="s">
        <v>5</v>
      </c>
      <c r="E4" s="7" t="s">
        <v>7</v>
      </c>
      <c r="F4" s="8" t="s">
        <v>3</v>
      </c>
      <c r="G4" s="7" t="s">
        <v>39</v>
      </c>
      <c r="H4" s="7" t="s">
        <v>40</v>
      </c>
      <c r="I4" s="7" t="s">
        <v>9</v>
      </c>
      <c r="K4" s="14" t="s">
        <v>43</v>
      </c>
      <c r="L4" s="13" t="s">
        <v>51</v>
      </c>
      <c r="M4" s="2" t="s">
        <v>17</v>
      </c>
    </row>
    <row r="6" spans="2:13" ht="12.75">
      <c r="B6" t="s">
        <v>48</v>
      </c>
      <c r="C6">
        <v>120</v>
      </c>
      <c r="D6">
        <f>13*C6</f>
        <v>1560</v>
      </c>
      <c r="E6">
        <f>4*60</f>
        <v>240</v>
      </c>
      <c r="F6" s="1">
        <f>E6/60</f>
        <v>4</v>
      </c>
      <c r="G6" s="3">
        <f>D6*F6</f>
        <v>6240</v>
      </c>
      <c r="I6" s="3">
        <f>IF(H6="x",G6,0)</f>
        <v>0</v>
      </c>
      <c r="K6" s="1">
        <f>(1+$C$31)*D6</f>
        <v>1793.9999999999998</v>
      </c>
      <c r="L6" s="1">
        <f>K6/12</f>
        <v>149.49999999999997</v>
      </c>
      <c r="M6" t="s">
        <v>49</v>
      </c>
    </row>
    <row r="8" spans="2:12" ht="12.75">
      <c r="B8" t="s">
        <v>4</v>
      </c>
      <c r="C8">
        <v>120</v>
      </c>
      <c r="D8">
        <v>1500</v>
      </c>
      <c r="E8">
        <v>6</v>
      </c>
      <c r="F8" s="1">
        <f>E8/60</f>
        <v>0.1</v>
      </c>
      <c r="G8" s="3">
        <f>D8*F8</f>
        <v>150</v>
      </c>
      <c r="H8" s="3" t="s">
        <v>41</v>
      </c>
      <c r="I8" s="3">
        <f>IF(H8="x",G8,0)</f>
        <v>150</v>
      </c>
      <c r="K8" s="1">
        <f>(1+$C$31)*D8</f>
        <v>1724.9999999999998</v>
      </c>
      <c r="L8" s="1">
        <f>K8/12</f>
        <v>143.74999999999997</v>
      </c>
    </row>
    <row r="9" spans="2:12" ht="12.75">
      <c r="B9" t="s">
        <v>6</v>
      </c>
      <c r="C9">
        <v>120</v>
      </c>
      <c r="D9">
        <v>1000</v>
      </c>
      <c r="E9">
        <v>3</v>
      </c>
      <c r="F9" s="1">
        <f>E9/60</f>
        <v>0.05</v>
      </c>
      <c r="G9" s="3">
        <f>D9*F9</f>
        <v>50</v>
      </c>
      <c r="H9" s="3" t="s">
        <v>41</v>
      </c>
      <c r="I9" s="3">
        <f>IF(H9="x",G9,0)</f>
        <v>50</v>
      </c>
      <c r="K9" s="1">
        <f>(1+$C$31)*D9</f>
        <v>1150</v>
      </c>
      <c r="L9" s="1">
        <f>K9/12</f>
        <v>95.83333333333333</v>
      </c>
    </row>
    <row r="10" spans="2:13" ht="12.75">
      <c r="B10" t="s">
        <v>8</v>
      </c>
      <c r="C10">
        <v>120</v>
      </c>
      <c r="D10">
        <v>1500</v>
      </c>
      <c r="E10">
        <v>15</v>
      </c>
      <c r="F10" s="1">
        <f>E10/60</f>
        <v>0.25</v>
      </c>
      <c r="G10" s="3">
        <f>D10*F10</f>
        <v>375</v>
      </c>
      <c r="H10" s="3" t="s">
        <v>41</v>
      </c>
      <c r="I10" s="3">
        <f>IF(H10="x",G10,0)</f>
        <v>375</v>
      </c>
      <c r="K10" s="1">
        <f>(1+$C$31)*D10</f>
        <v>1724.9999999999998</v>
      </c>
      <c r="L10" s="1">
        <f>K10/12</f>
        <v>143.74999999999997</v>
      </c>
      <c r="M10" t="s">
        <v>19</v>
      </c>
    </row>
    <row r="12" spans="2:12" ht="12.75">
      <c r="B12" t="s">
        <v>10</v>
      </c>
      <c r="C12">
        <v>120</v>
      </c>
      <c r="D12">
        <v>900</v>
      </c>
      <c r="E12">
        <v>5</v>
      </c>
      <c r="F12" s="1">
        <f>E12/60</f>
        <v>0.08333333333333333</v>
      </c>
      <c r="G12" s="3">
        <f>D12*F12</f>
        <v>75</v>
      </c>
      <c r="H12" s="3" t="s">
        <v>41</v>
      </c>
      <c r="I12" s="3">
        <f>IF(H12="x",G12,0)</f>
        <v>75</v>
      </c>
      <c r="K12" s="1">
        <f>(1+$C$31)*D12</f>
        <v>1035</v>
      </c>
      <c r="L12" s="1">
        <f>K12/12</f>
        <v>86.25</v>
      </c>
    </row>
    <row r="14" spans="2:13" ht="12.75">
      <c r="B14" t="s">
        <v>11</v>
      </c>
      <c r="C14">
        <v>120</v>
      </c>
      <c r="D14">
        <f>2*C14</f>
        <v>240</v>
      </c>
      <c r="E14">
        <v>90</v>
      </c>
      <c r="F14" s="1">
        <f>E14/60</f>
        <v>1.5</v>
      </c>
      <c r="G14" s="3">
        <f>D14*F14</f>
        <v>360</v>
      </c>
      <c r="H14" s="3"/>
      <c r="I14" s="3">
        <f>IF(H14="x",G14,0)</f>
        <v>0</v>
      </c>
      <c r="K14" s="1">
        <f>(1+$C$31)*D14</f>
        <v>276</v>
      </c>
      <c r="L14" s="1">
        <f>K14/12</f>
        <v>23</v>
      </c>
      <c r="M14" t="s">
        <v>18</v>
      </c>
    </row>
    <row r="15" spans="2:13" ht="12.75">
      <c r="B15" t="s">
        <v>12</v>
      </c>
      <c r="C15">
        <v>120</v>
      </c>
      <c r="D15">
        <f>1*C15</f>
        <v>120</v>
      </c>
      <c r="E15">
        <v>90</v>
      </c>
      <c r="F15" s="1">
        <f>E15/60</f>
        <v>1.5</v>
      </c>
      <c r="G15" s="3">
        <f>D15*F15</f>
        <v>180</v>
      </c>
      <c r="H15" s="3"/>
      <c r="I15" s="3">
        <f>IF(H15="x",G15,0)</f>
        <v>0</v>
      </c>
      <c r="K15" s="1">
        <f>(1+$C$31)*D15</f>
        <v>138</v>
      </c>
      <c r="L15" s="1">
        <f>K15/12</f>
        <v>11.5</v>
      </c>
      <c r="M15" t="s">
        <v>18</v>
      </c>
    </row>
    <row r="17" spans="2:12" ht="12.75">
      <c r="B17" t="s">
        <v>15</v>
      </c>
      <c r="C17">
        <v>120</v>
      </c>
      <c r="D17">
        <v>80</v>
      </c>
      <c r="E17">
        <v>120</v>
      </c>
      <c r="F17" s="1">
        <f>E17/60</f>
        <v>2</v>
      </c>
      <c r="G17" s="3">
        <f>D17*F17</f>
        <v>160</v>
      </c>
      <c r="H17" s="3" t="s">
        <v>41</v>
      </c>
      <c r="I17" s="3">
        <f>IF(H17="x",G17,0)</f>
        <v>160</v>
      </c>
      <c r="K17" s="1">
        <f>(1+$C$31)*D17</f>
        <v>92</v>
      </c>
      <c r="L17" s="1">
        <f>K17/12</f>
        <v>7.666666666666667</v>
      </c>
    </row>
    <row r="19" spans="2:13" ht="12.75">
      <c r="B19" t="s">
        <v>16</v>
      </c>
      <c r="C19">
        <v>120</v>
      </c>
      <c r="D19">
        <v>30</v>
      </c>
      <c r="E19">
        <v>120</v>
      </c>
      <c r="F19" s="1">
        <f aca="true" t="shared" si="0" ref="F19:F24">E19/60</f>
        <v>2</v>
      </c>
      <c r="G19" s="3">
        <f aca="true" t="shared" si="1" ref="G19:G24">D19*F19</f>
        <v>60</v>
      </c>
      <c r="H19" s="3"/>
      <c r="I19" s="3">
        <f aca="true" t="shared" si="2" ref="I19:I24">IF(H19="x",G19,0)</f>
        <v>0</v>
      </c>
      <c r="K19" s="1">
        <f aca="true" t="shared" si="3" ref="K19:K24">(1+$C$31)*D19</f>
        <v>34.5</v>
      </c>
      <c r="L19" s="1">
        <f aca="true" t="shared" si="4" ref="L19:L24">K19/12</f>
        <v>2.875</v>
      </c>
      <c r="M19" t="s">
        <v>20</v>
      </c>
    </row>
    <row r="20" spans="2:13" ht="12.75">
      <c r="B20" t="s">
        <v>21</v>
      </c>
      <c r="C20">
        <v>120</v>
      </c>
      <c r="D20">
        <f>C20*0.085</f>
        <v>10.200000000000001</v>
      </c>
      <c r="E20">
        <v>120</v>
      </c>
      <c r="F20" s="1">
        <f t="shared" si="0"/>
        <v>2</v>
      </c>
      <c r="G20" s="3">
        <f t="shared" si="1"/>
        <v>20.400000000000002</v>
      </c>
      <c r="H20" s="3"/>
      <c r="I20" s="3">
        <f t="shared" si="2"/>
        <v>0</v>
      </c>
      <c r="K20" s="1">
        <f t="shared" si="3"/>
        <v>11.73</v>
      </c>
      <c r="L20" s="1">
        <f t="shared" si="4"/>
        <v>0.9775</v>
      </c>
      <c r="M20" t="s">
        <v>22</v>
      </c>
    </row>
    <row r="21" spans="2:13" ht="12.75">
      <c r="B21" t="s">
        <v>23</v>
      </c>
      <c r="C21">
        <v>120</v>
      </c>
      <c r="D21">
        <v>20</v>
      </c>
      <c r="E21">
        <v>120</v>
      </c>
      <c r="F21" s="1">
        <f t="shared" si="0"/>
        <v>2</v>
      </c>
      <c r="G21" s="3">
        <f t="shared" si="1"/>
        <v>40</v>
      </c>
      <c r="H21" s="3"/>
      <c r="I21" s="3">
        <f t="shared" si="2"/>
        <v>0</v>
      </c>
      <c r="K21" s="1">
        <f t="shared" si="3"/>
        <v>23</v>
      </c>
      <c r="L21" s="1">
        <f t="shared" si="4"/>
        <v>1.9166666666666667</v>
      </c>
      <c r="M21" t="s">
        <v>22</v>
      </c>
    </row>
    <row r="22" spans="2:13" ht="12.75">
      <c r="B22" t="s">
        <v>34</v>
      </c>
      <c r="C22">
        <v>120</v>
      </c>
      <c r="D22">
        <v>30</v>
      </c>
      <c r="E22">
        <v>120</v>
      </c>
      <c r="F22" s="1">
        <f t="shared" si="0"/>
        <v>2</v>
      </c>
      <c r="G22" s="3">
        <f t="shared" si="1"/>
        <v>60</v>
      </c>
      <c r="H22" s="3"/>
      <c r="I22" s="3">
        <f t="shared" si="2"/>
        <v>0</v>
      </c>
      <c r="K22" s="1">
        <f t="shared" si="3"/>
        <v>34.5</v>
      </c>
      <c r="L22" s="1">
        <f t="shared" si="4"/>
        <v>2.875</v>
      </c>
      <c r="M22" t="s">
        <v>36</v>
      </c>
    </row>
    <row r="23" spans="2:13" ht="12.75">
      <c r="B23" t="s">
        <v>35</v>
      </c>
      <c r="C23">
        <v>120</v>
      </c>
      <c r="D23">
        <f>0.2*C23</f>
        <v>24</v>
      </c>
      <c r="E23">
        <v>120</v>
      </c>
      <c r="F23" s="1">
        <f t="shared" si="0"/>
        <v>2</v>
      </c>
      <c r="G23" s="3">
        <f t="shared" si="1"/>
        <v>48</v>
      </c>
      <c r="H23" s="3"/>
      <c r="I23" s="3">
        <f t="shared" si="2"/>
        <v>0</v>
      </c>
      <c r="K23" s="1">
        <f t="shared" si="3"/>
        <v>27.599999999999998</v>
      </c>
      <c r="L23" s="1">
        <f t="shared" si="4"/>
        <v>2.3</v>
      </c>
      <c r="M23" t="s">
        <v>22</v>
      </c>
    </row>
    <row r="24" spans="2:13" ht="12.75">
      <c r="B24" t="s">
        <v>38</v>
      </c>
      <c r="C24">
        <v>120</v>
      </c>
      <c r="D24">
        <v>30</v>
      </c>
      <c r="E24">
        <v>120</v>
      </c>
      <c r="F24" s="1">
        <f t="shared" si="0"/>
        <v>2</v>
      </c>
      <c r="G24" s="3">
        <f t="shared" si="1"/>
        <v>60</v>
      </c>
      <c r="H24" s="3"/>
      <c r="I24" s="3">
        <f t="shared" si="2"/>
        <v>0</v>
      </c>
      <c r="K24" s="1">
        <f t="shared" si="3"/>
        <v>34.5</v>
      </c>
      <c r="L24" s="1">
        <f t="shared" si="4"/>
        <v>2.875</v>
      </c>
      <c r="M24" t="s">
        <v>36</v>
      </c>
    </row>
    <row r="25" spans="7:9" ht="12.75">
      <c r="G25" s="3"/>
      <c r="H25" s="3"/>
      <c r="I25" s="3"/>
    </row>
    <row r="26" spans="2:13" ht="12.75">
      <c r="B26" t="s">
        <v>37</v>
      </c>
      <c r="C26">
        <v>120</v>
      </c>
      <c r="D26">
        <v>120</v>
      </c>
      <c r="E26">
        <v>20</v>
      </c>
      <c r="F26" s="1">
        <f>E26/60</f>
        <v>0.3333333333333333</v>
      </c>
      <c r="G26" s="3">
        <f>D26*F26</f>
        <v>40</v>
      </c>
      <c r="H26" s="3"/>
      <c r="I26" s="3">
        <f>IF(H26="x",G26,0)</f>
        <v>0</v>
      </c>
      <c r="K26" s="1">
        <f>(1+$C$31)*D26</f>
        <v>138</v>
      </c>
      <c r="L26" s="1">
        <f>K26/12</f>
        <v>11.5</v>
      </c>
      <c r="M26" t="s">
        <v>22</v>
      </c>
    </row>
    <row r="27" spans="7:9" ht="12.75">
      <c r="G27" s="3"/>
      <c r="H27" s="3"/>
      <c r="I27" s="3"/>
    </row>
    <row r="28" spans="2:13" ht="12.75">
      <c r="B28" t="s">
        <v>31</v>
      </c>
      <c r="C28">
        <v>120</v>
      </c>
      <c r="D28">
        <v>20</v>
      </c>
      <c r="E28">
        <v>120</v>
      </c>
      <c r="F28" s="1">
        <f>E28/60</f>
        <v>2</v>
      </c>
      <c r="G28" s="3">
        <f>D28*F28</f>
        <v>40</v>
      </c>
      <c r="H28" s="3"/>
      <c r="I28" s="3">
        <f>IF(H28="x",G28,0)</f>
        <v>0</v>
      </c>
      <c r="K28" s="1">
        <f>(1+$C$31)*D28</f>
        <v>23</v>
      </c>
      <c r="L28" s="1">
        <f>K28/12</f>
        <v>1.9166666666666667</v>
      </c>
      <c r="M28" t="s">
        <v>20</v>
      </c>
    </row>
    <row r="29" spans="4:12" ht="12.75">
      <c r="D29" s="4"/>
      <c r="G29" s="9"/>
      <c r="H29" s="3"/>
      <c r="I29" s="9"/>
      <c r="K29" s="15"/>
      <c r="L29" s="4"/>
    </row>
    <row r="30" spans="2:12" ht="12.75">
      <c r="B30" s="12" t="s">
        <v>44</v>
      </c>
      <c r="D30" s="3">
        <f>SUM(D6:D29)</f>
        <v>7184.2</v>
      </c>
      <c r="G30" s="3">
        <f>SUM(G6:G29)</f>
        <v>7958.4</v>
      </c>
      <c r="H30" s="3"/>
      <c r="I30" s="3">
        <f>SUM(I6:I29)</f>
        <v>810</v>
      </c>
      <c r="K30" s="3">
        <f>SUM(K6:K29)</f>
        <v>8261.83</v>
      </c>
      <c r="L30" s="3">
        <f>SUM(L6:L29)</f>
        <v>688.4858333333331</v>
      </c>
    </row>
    <row r="31" spans="2:9" ht="12.75">
      <c r="B31" t="s">
        <v>43</v>
      </c>
      <c r="C31" s="10">
        <v>0.15</v>
      </c>
      <c r="D31" s="9">
        <f>D30*$C31</f>
        <v>1077.6299999999999</v>
      </c>
      <c r="G31" s="9">
        <f>G30*$C31</f>
        <v>1193.76</v>
      </c>
      <c r="H31" s="3"/>
      <c r="I31" s="9">
        <f>I30*$C31</f>
        <v>121.5</v>
      </c>
    </row>
    <row r="32" spans="2:9" ht="12.75">
      <c r="B32" t="s">
        <v>50</v>
      </c>
      <c r="C32" s="10"/>
      <c r="D32" s="11">
        <f>SUM(D30:D31)</f>
        <v>8261.83</v>
      </c>
      <c r="G32" s="11">
        <f>SUM(G30:G31)</f>
        <v>9152.16</v>
      </c>
      <c r="H32" s="3"/>
      <c r="I32" s="11">
        <f>SUM(I30:I31)</f>
        <v>931.5</v>
      </c>
    </row>
    <row r="33" spans="4:9" ht="12.75">
      <c r="D33" s="3"/>
      <c r="G33" s="3"/>
      <c r="H33" s="3"/>
      <c r="I33" s="3"/>
    </row>
    <row r="35" spans="2:9" ht="12.75">
      <c r="B35" t="s">
        <v>13</v>
      </c>
      <c r="C35">
        <v>12</v>
      </c>
      <c r="D35">
        <f>8*12</f>
        <v>96</v>
      </c>
      <c r="E35">
        <v>90</v>
      </c>
      <c r="F35" s="1">
        <f>E35/60</f>
        <v>1.5</v>
      </c>
      <c r="G35" s="3">
        <f>D35*F35</f>
        <v>144</v>
      </c>
      <c r="H35" s="3" t="s">
        <v>41</v>
      </c>
      <c r="I35" s="3">
        <f>IF(H35="x",G35,0)</f>
        <v>144</v>
      </c>
    </row>
    <row r="36" spans="2:9" ht="12.75">
      <c r="B36" t="s">
        <v>14</v>
      </c>
      <c r="C36">
        <v>12</v>
      </c>
      <c r="D36">
        <f>8*12</f>
        <v>96</v>
      </c>
      <c r="E36">
        <v>40</v>
      </c>
      <c r="F36" s="1">
        <f>E36/60</f>
        <v>0.6666666666666666</v>
      </c>
      <c r="G36" s="3">
        <f>D36*F36</f>
        <v>64</v>
      </c>
      <c r="H36" s="3" t="s">
        <v>41</v>
      </c>
      <c r="I36" s="3">
        <f>IF(H36="x",G36,0)</f>
        <v>64</v>
      </c>
    </row>
    <row r="38" spans="2:9" ht="12.75">
      <c r="B38" t="s">
        <v>24</v>
      </c>
      <c r="C38">
        <v>12</v>
      </c>
      <c r="D38">
        <v>50</v>
      </c>
      <c r="E38">
        <v>30</v>
      </c>
      <c r="F38" s="1">
        <f>E38/60</f>
        <v>0.5</v>
      </c>
      <c r="G38" s="3">
        <f>D38*F38</f>
        <v>25</v>
      </c>
      <c r="H38" s="3"/>
      <c r="I38" s="3">
        <f>IF(H38="x",G38,0)</f>
        <v>0</v>
      </c>
    </row>
    <row r="40" spans="2:9" ht="12.75">
      <c r="B40" t="s">
        <v>25</v>
      </c>
      <c r="C40">
        <v>12</v>
      </c>
      <c r="D40">
        <v>50</v>
      </c>
      <c r="E40">
        <v>60</v>
      </c>
      <c r="F40" s="1">
        <f>E40/60</f>
        <v>1</v>
      </c>
      <c r="G40" s="3">
        <f>D40*F40</f>
        <v>50</v>
      </c>
      <c r="H40" s="3" t="s">
        <v>41</v>
      </c>
      <c r="I40" s="3">
        <f>IF(H40="x",G40,0)</f>
        <v>50</v>
      </c>
    </row>
    <row r="41" spans="2:9" ht="12.75">
      <c r="B41" t="s">
        <v>26</v>
      </c>
      <c r="C41">
        <v>12</v>
      </c>
      <c r="D41">
        <v>0.2</v>
      </c>
      <c r="E41">
        <v>60</v>
      </c>
      <c r="F41" s="1">
        <f>E41/60</f>
        <v>1</v>
      </c>
      <c r="G41" s="3">
        <f>D41*F41</f>
        <v>0.2</v>
      </c>
      <c r="H41" s="3" t="s">
        <v>41</v>
      </c>
      <c r="I41" s="3">
        <f>IF(H41="x",G41,0)</f>
        <v>0.2</v>
      </c>
    </row>
    <row r="43" spans="2:13" ht="12.75">
      <c r="B43" t="s">
        <v>30</v>
      </c>
      <c r="C43">
        <v>12</v>
      </c>
      <c r="D43">
        <f>C43*10</f>
        <v>120</v>
      </c>
      <c r="E43">
        <v>10</v>
      </c>
      <c r="F43" s="1">
        <f>E43/60</f>
        <v>0.16666666666666666</v>
      </c>
      <c r="G43" s="3">
        <f>D43*F43</f>
        <v>20</v>
      </c>
      <c r="H43" s="3"/>
      <c r="I43" s="3">
        <f>IF(H43="x",G43,0)</f>
        <v>0</v>
      </c>
      <c r="M43" t="s">
        <v>27</v>
      </c>
    </row>
    <row r="44" spans="2:9" ht="12.75">
      <c r="B44" t="s">
        <v>28</v>
      </c>
      <c r="C44">
        <v>12</v>
      </c>
      <c r="D44">
        <f>C44*10</f>
        <v>120</v>
      </c>
      <c r="E44">
        <v>20</v>
      </c>
      <c r="F44" s="1">
        <f>E44/60</f>
        <v>0.3333333333333333</v>
      </c>
      <c r="G44" s="3">
        <f>D44*F44</f>
        <v>40</v>
      </c>
      <c r="H44" s="3" t="s">
        <v>41</v>
      </c>
      <c r="I44" s="3">
        <f>IF(H44="x",G44,0)</f>
        <v>40</v>
      </c>
    </row>
    <row r="46" spans="2:13" ht="12.75">
      <c r="B46" t="s">
        <v>29</v>
      </c>
      <c r="C46">
        <v>12</v>
      </c>
      <c r="D46">
        <v>54</v>
      </c>
      <c r="E46">
        <f>60*4</f>
        <v>240</v>
      </c>
      <c r="F46" s="1">
        <f>E46/60</f>
        <v>4</v>
      </c>
      <c r="G46" s="3">
        <f>D46*F46</f>
        <v>216</v>
      </c>
      <c r="H46" s="3" t="s">
        <v>41</v>
      </c>
      <c r="I46" s="3">
        <f>IF(H46="x",G46,0)</f>
        <v>216</v>
      </c>
      <c r="M46" t="s">
        <v>32</v>
      </c>
    </row>
    <row r="47" spans="7:13" ht="12.75">
      <c r="G47" s="3"/>
      <c r="H47" s="3"/>
      <c r="I47" s="3"/>
      <c r="M47" t="s">
        <v>47</v>
      </c>
    </row>
    <row r="50" spans="2:9" ht="12.75">
      <c r="B50" t="s">
        <v>33</v>
      </c>
      <c r="C50">
        <v>12</v>
      </c>
      <c r="D50">
        <f>0.006*12</f>
        <v>0.07200000000000001</v>
      </c>
      <c r="E50">
        <f>60*24</f>
        <v>1440</v>
      </c>
      <c r="F50" s="1">
        <f>E50/60</f>
        <v>24</v>
      </c>
      <c r="G50" s="3">
        <f>D50*F50</f>
        <v>1.7280000000000002</v>
      </c>
      <c r="H50" s="3" t="s">
        <v>41</v>
      </c>
      <c r="I50" s="3">
        <f>IF(H50="x",G50,0)</f>
        <v>1.7280000000000002</v>
      </c>
    </row>
    <row r="51" spans="7:9" ht="12.75">
      <c r="G51" s="9"/>
      <c r="H51" s="3"/>
      <c r="I51" s="9"/>
    </row>
    <row r="52" spans="2:9" ht="12.75">
      <c r="B52" t="s">
        <v>45</v>
      </c>
      <c r="G52" s="3">
        <f>SUM(G35:G50)</f>
        <v>560.928</v>
      </c>
      <c r="I52" s="3">
        <f>SUM(I35:I50)</f>
        <v>515.928</v>
      </c>
    </row>
    <row r="53" spans="7:9" ht="12.75">
      <c r="G53" s="4"/>
      <c r="H53" s="6"/>
      <c r="I53" s="4"/>
    </row>
    <row r="54" spans="2:9" ht="12.75">
      <c r="B54" t="s">
        <v>46</v>
      </c>
      <c r="F54" s="5"/>
      <c r="G54" s="3">
        <f>G32+G52</f>
        <v>9713.088</v>
      </c>
      <c r="H54" s="3"/>
      <c r="I54" s="3">
        <f>I32+I52</f>
        <v>1447.4279999999999</v>
      </c>
    </row>
    <row r="56" spans="2:9" ht="12.75">
      <c r="B56" t="s">
        <v>42</v>
      </c>
      <c r="G56" s="3">
        <f>G54/12</f>
        <v>809.424</v>
      </c>
      <c r="I56" s="3">
        <f>I54/12</f>
        <v>120.61899999999999</v>
      </c>
    </row>
    <row r="57" ht="12.75">
      <c r="L57">
        <f>85*4</f>
        <v>340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Q14"/>
  <sheetViews>
    <sheetView workbookViewId="0" topLeftCell="A1">
      <selection activeCell="A16" sqref="A16"/>
    </sheetView>
  </sheetViews>
  <sheetFormatPr defaultColWidth="9.140625" defaultRowHeight="12.75"/>
  <sheetData>
    <row r="9" spans="1:17" ht="25.5">
      <c r="A9" s="20" t="s">
        <v>54</v>
      </c>
      <c r="B9" s="42" t="s">
        <v>56</v>
      </c>
      <c r="C9" s="24"/>
      <c r="D9" s="25"/>
      <c r="E9" s="25"/>
      <c r="F9" s="26"/>
      <c r="G9" s="26"/>
      <c r="H9" s="27"/>
      <c r="I9" s="45" t="s">
        <v>63</v>
      </c>
      <c r="J9" s="46"/>
      <c r="K9" s="24"/>
      <c r="L9" s="25"/>
      <c r="M9" s="33"/>
      <c r="N9" s="20" t="s">
        <v>69</v>
      </c>
      <c r="O9" s="24"/>
      <c r="P9" s="25"/>
      <c r="Q9" s="33"/>
    </row>
    <row r="10" spans="1:17" ht="25.5">
      <c r="A10" s="21" t="s">
        <v>55</v>
      </c>
      <c r="B10" s="43"/>
      <c r="C10" s="36" t="s">
        <v>57</v>
      </c>
      <c r="D10" s="37"/>
      <c r="E10" s="37"/>
      <c r="F10" s="16"/>
      <c r="G10" s="16"/>
      <c r="H10" s="28"/>
      <c r="I10" s="36" t="s">
        <v>64</v>
      </c>
      <c r="J10" s="41"/>
      <c r="K10" s="38" t="s">
        <v>65</v>
      </c>
      <c r="L10" s="39"/>
      <c r="M10" s="40"/>
      <c r="N10" s="21" t="s">
        <v>70</v>
      </c>
      <c r="O10" s="36" t="s">
        <v>72</v>
      </c>
      <c r="P10" s="37"/>
      <c r="Q10" s="41"/>
    </row>
    <row r="11" spans="1:17" ht="25.5">
      <c r="A11" s="21"/>
      <c r="B11" s="43"/>
      <c r="C11" s="23" t="s">
        <v>58</v>
      </c>
      <c r="D11" s="19" t="s">
        <v>60</v>
      </c>
      <c r="E11" s="19" t="s">
        <v>61</v>
      </c>
      <c r="F11" s="16"/>
      <c r="G11" s="16"/>
      <c r="H11" s="28"/>
      <c r="I11" s="36"/>
      <c r="J11" s="41"/>
      <c r="K11" s="23" t="s">
        <v>66</v>
      </c>
      <c r="L11" s="19" t="s">
        <v>67</v>
      </c>
      <c r="M11" s="34" t="s">
        <v>68</v>
      </c>
      <c r="N11" s="21" t="s">
        <v>71</v>
      </c>
      <c r="O11" s="23">
        <v>25</v>
      </c>
      <c r="P11" s="19">
        <v>15</v>
      </c>
      <c r="Q11" s="34">
        <v>8</v>
      </c>
    </row>
    <row r="12" spans="1:17" ht="12.75">
      <c r="A12" s="22"/>
      <c r="B12" s="44"/>
      <c r="C12" s="29" t="s">
        <v>59</v>
      </c>
      <c r="D12" s="30" t="s">
        <v>59</v>
      </c>
      <c r="E12" s="30" t="s">
        <v>62</v>
      </c>
      <c r="F12" s="31"/>
      <c r="G12" s="31"/>
      <c r="H12" s="32"/>
      <c r="I12" s="47"/>
      <c r="J12" s="48"/>
      <c r="K12" s="49"/>
      <c r="L12" s="50"/>
      <c r="M12" s="51"/>
      <c r="N12" s="22"/>
      <c r="O12" s="29" t="s">
        <v>73</v>
      </c>
      <c r="P12" s="30" t="s">
        <v>73</v>
      </c>
      <c r="Q12" s="35" t="s">
        <v>74</v>
      </c>
    </row>
    <row r="14" spans="1:17" ht="12.75">
      <c r="A14" s="17" t="s">
        <v>52</v>
      </c>
      <c r="B14" s="18" t="s">
        <v>53</v>
      </c>
      <c r="C14" s="18">
        <v>20.76</v>
      </c>
      <c r="D14" s="18">
        <v>527</v>
      </c>
      <c r="E14" s="18">
        <v>8.7</v>
      </c>
      <c r="F14" s="18">
        <v>221</v>
      </c>
      <c r="G14" s="18">
        <v>9.44</v>
      </c>
      <c r="H14" s="18">
        <v>240</v>
      </c>
      <c r="I14" s="18">
        <v>135</v>
      </c>
      <c r="J14" s="18">
        <v>61.2</v>
      </c>
      <c r="K14" s="18">
        <v>1595</v>
      </c>
      <c r="L14" s="18">
        <v>1360</v>
      </c>
      <c r="M14" s="18">
        <v>1100</v>
      </c>
      <c r="N14" s="18">
        <v>210</v>
      </c>
      <c r="O14" s="18">
        <v>390</v>
      </c>
      <c r="P14" s="18">
        <v>680</v>
      </c>
      <c r="Q14" s="18">
        <v>1375</v>
      </c>
    </row>
  </sheetData>
  <mergeCells count="9">
    <mergeCell ref="C10:E10"/>
    <mergeCell ref="K10:M10"/>
    <mergeCell ref="O10:Q10"/>
    <mergeCell ref="B9:B12"/>
    <mergeCell ref="I9:J9"/>
    <mergeCell ref="I10:J10"/>
    <mergeCell ref="I11:J11"/>
    <mergeCell ref="I12:J12"/>
    <mergeCell ref="K12:M12"/>
  </mergeCells>
  <hyperlinks>
    <hyperlink ref="A14" r:id="rId1" display="http://www.lifelinebatteries.com/marineflyer.php?id=5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5:C25"/>
  <sheetViews>
    <sheetView workbookViewId="0" topLeftCell="A1">
      <selection activeCell="B27" sqref="B27"/>
    </sheetView>
  </sheetViews>
  <sheetFormatPr defaultColWidth="9.140625" defaultRowHeight="12.75"/>
  <sheetData>
    <row r="25" spans="2:3" ht="12.75">
      <c r="B25" t="s">
        <v>75</v>
      </c>
      <c r="C25" t="s">
        <v>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dcterms:created xsi:type="dcterms:W3CDTF">2006-07-28T16:07:27Z</dcterms:created>
  <dcterms:modified xsi:type="dcterms:W3CDTF">2008-08-04T23:29:57Z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